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548" firstSheet="5" activeTab="8"/>
  </bookViews>
  <sheets>
    <sheet name="Orientações" sheetId="1" state="hidden" r:id="rId1"/>
    <sheet name="Servente" sheetId="2" state="hidden" r:id="rId2"/>
    <sheet name="Tradutor-Intérprete" sheetId="14" r:id="rId3"/>
    <sheet name="Cuidador" sheetId="15" r:id="rId4"/>
    <sheet name="Audiodescritor" sheetId="19" r:id="rId5"/>
    <sheet name="Psicopedagogo" sheetId="18" r:id="rId6"/>
    <sheet name="Uniformes" sheetId="12" r:id="rId7"/>
    <sheet name="Diárias" sheetId="20" r:id="rId8"/>
    <sheet name="RESUMO" sheetId="13" r:id="rId9"/>
  </sheets>
  <externalReferences>
    <externalReference r:id="rId10"/>
    <externalReference r:id="rId11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<sst xmlns="http://schemas.openxmlformats.org/spreadsheetml/2006/main" count="1425" uniqueCount="299">
  <si>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</si>
  <si>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</si>
  <si>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</si>
  <si>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</si>
  <si>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</si>
  <si>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</si>
  <si>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</si>
  <si>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</si>
  <si>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</si>
  <si>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</si>
  <si>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</si>
  <si>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</si>
  <si>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</si>
  <si>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</si>
  <si>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</si>
  <si>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</si>
  <si>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</si>
  <si>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</si>
  <si>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</si>
  <si>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</si>
  <si>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</si>
  <si>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</si>
  <si>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</si>
  <si>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</si>
  <si>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</si>
  <si>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</si>
  <si>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</si>
  <si>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</si>
  <si>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</si>
  <si>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</si>
  <si>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</si>
  <si>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</si>
  <si>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</si>
  <si>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</si>
  <si>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</si>
  <si>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</si>
  <si>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</si>
  <si>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</si>
  <si>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</si>
  <si>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</si>
  <si>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</si>
  <si>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</si>
  <si>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</si>
  <si>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</si>
  <si>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</si>
  <si>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</si>
  <si>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</si>
  <si>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</si>
  <si>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</si>
  <si>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</si>
  <si>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</si>
  <si>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</si>
  <si>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</si>
  <si>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</si>
  <si>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</si>
  <si>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</si>
  <si>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</si>
  <si>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</si>
  <si>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</si>
  <si>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</si>
  <si>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</si>
  <si>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</si>
  <si>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</si>
  <si>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</si>
  <si>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</si>
  <si>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</si>
  <si>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</si>
  <si>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</si>
  <si>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</si>
  <si>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</si>
  <si>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</si>
  <si>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</si>
  <si>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</si>
  <si>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</si>
  <si>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</si>
  <si>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</si>
  <si>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</si>
  <si>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</si>
  <si>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</si>
  <si>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</si>
  <si>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</si>
  <si>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</si>
  <si>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</si>
  <si>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</si>
  <si>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</si>
  <si>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</si>
  <si>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</si>
  <si>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</si>
  <si>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</si>
  <si>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</si>
  <si>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</si>
  <si>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</si>
  <si>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</si>
  <si>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</si>
  <si>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</si>
  <si>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</si>
  <si>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</si>
  <si>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</si>
  <si>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</si>
  <si>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</si>
  <si>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</si>
  <si>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</si>
  <si>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</si>
  <si>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</si>
  <si>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</si>
  <si>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</si>
  <si>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</si>
  <si>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</si>
  <si>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</si>
  <si>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</si>
  <si>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</si>
  <si>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</si>
  <si>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</si>
  <si>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</si>
  <si>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</si>
  <si>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</si>
  <si>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</si>
  <si>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</si>
  <si>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</si>
  <si>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</si>
  <si>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</si>
  <si>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</si>
  <si>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</si>
  <si>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</si>
  <si>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</si>
  <si>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</si>
  <si>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</si>
  <si>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</si>
  <si>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</si>
  <si>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</si>
  <si>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</si>
  <si>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</si>
  <si>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</si>
  <si>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</si>
  <si>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</si>
  <si>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</si>
  <si>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</si>
  <si>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</si>
  <si>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</si>
  <si>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</si>
  <si>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</si>
  <si>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</si>
  <si>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</si>
  <si>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</si>
  <si>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</si>
  <si>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</si>
  <si>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</si>
  <si>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</si>
  <si>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</si>
  <si>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</si>
  <si>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</si>
  <si>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</si>
  <si>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</si>
  <si>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</si>
  <si>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</si>
  <si>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</si>
  <si>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</si>
  <si>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</si>
  <si>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</si>
  <si>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</si>
  <si>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</si>
  <si>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</si>
  <si>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</si>
  <si>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</si>
  <si>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</si>
  <si>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</si>
  <si>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</si>
  <si>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</si>
  <si>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</si>
  <si>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</si>
  <si>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</si>
  <si>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</si>
  <si>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</si>
  <si>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</si>
  <si>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</si>
  <si>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</si>
  <si>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</si>
  <si>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</si>
  <si>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</si>
  <si>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</si>
  <si>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</si>
  <si>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</si>
  <si>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</si>
  <si>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</si>
  <si>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</si>
  <si>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</si>
  <si>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</si>
  <si>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</si>
  <si>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</si>
  <si>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</si>
  <si>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</si>
  <si>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</si>
  <si>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</si>
  <si>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</si>
  <si>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</si>
  <si>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</si>
  <si>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</si>
  <si>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</si>
  <si>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</si>
  <si>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</si>
  <si>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</si>
  <si>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</si>
  <si>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</si>
  <si>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</si>
  <si>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</si>
  <si>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</si>
  <si>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</si>
  <si>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</si>
  <si>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</si>
  <si>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</si>
  <si>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</si>
  <si>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</si>
  <si>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</si>
  <si>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</si>
  <si>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</si>
  <si>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</si>
  <si>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</si>
  <si>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</si>
  <si>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</si>
  <si>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</si>
  <si>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</si>
  <si>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</si>
  <si>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</si>
  <si>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</si>
  <si>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</si>
  <si>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</si>
  <si>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</si>
  <si>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</si>
  <si>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</si>
  <si>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</si>
  <si>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</si>
  <si>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</si>
  <si>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Cuidador</t>
  </si>
  <si>
    <t>40 horas</t>
  </si>
  <si>
    <t>5162-10</t>
  </si>
  <si>
    <t>GRUPO XII c/c § 5º</t>
  </si>
  <si>
    <t>Uniformes e Equipamento de Proteção Individual - EPI</t>
  </si>
  <si>
    <t>Audiodescritor</t>
  </si>
  <si>
    <t>2614-30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</si>
  <si>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</si>
  <si>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</si>
  <si>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</si>
  <si>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</si>
  <si>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</si>
  <si>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</si>
  <si>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</si>
  <si>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</si>
  <si>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</si>
  <si>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</si>
  <si>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</si>
  <si>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</si>
  <si>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</si>
  <si>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</si>
  <si>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</si>
  <si>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</si>
  <si>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</si>
  <si>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</si>
  <si>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</si>
  <si>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</si>
  <si>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</si>
  <si>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</si>
  <si>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</si>
  <si>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</si>
  <si>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</si>
  <si>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</si>
  <si>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</si>
  <si>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</si>
  <si>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</si>
  <si>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</si>
  <si>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</si>
  <si>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</si>
  <si>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</si>
  <si>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</si>
  <si>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</si>
  <si>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</si>
  <si>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</si>
  <si>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</si>
  <si>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</si>
  <si>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</si>
  <si>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</si>
  <si>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</si>
  <si>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</si>
  <si>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</si>
  <si>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</si>
  <si>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</si>
  <si>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</si>
  <si>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</si>
  <si>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</si>
  <si>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</si>
  <si>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</si>
  <si>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</si>
  <si>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</si>
  <si>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</si>
  <si>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</si>
  <si>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</si>
  <si>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t xml:space="preserve">PRESTAÇÃO DE SERVIÇOS DE APOIO NAPNE - Posto de serviços: </t>
    </r>
    <r>
      <rPr>
        <b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</si>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</sst>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_-* #,##0_-;\-* #,##0_-;_-* &quot;-&quot;_-;_-@_-"/>
    <numFmt numFmtId="177" formatCode="_-&quot;R$&quot;* #,##0_-;\-&quot;R$&quot;* #,##0_-;_-&quot;R$&quot;* &quot;-&quot;_-;_-@_-"/>
    <numFmt numFmtId="178" formatCode="&quot;R$&quot;\ #,##0.00_);[Red]\(&quot;R$&quot;\ #,##0.00\)"/>
    <numFmt numFmtId="179" formatCode="&quot;R$ &quot;#,##0.00"/>
    <numFmt numFmtId="180" formatCode="_-* #,##0.00_-;\-* #,##0.00_-;_-* &quot;-&quot;??_-;_-@_-"/>
    <numFmt numFmtId="181" formatCode="_-&quot;R$ &quot;* #,##0.00_-;&quot;-R$ &quot;* #,##0.00_-;_-&quot;R$ &quot;* \-??_-;_-@_-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6" fillId="0" borderId="0" applyBorder="0" applyAlignment="0" applyProtection="0"/>
    <xf numFmtId="176" fontId="26" fillId="0" borderId="0" applyBorder="0" applyAlignment="0" applyProtection="0"/>
    <xf numFmtId="0" fontId="27" fillId="23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32" applyNumberFormat="0" applyFill="0" applyAlignment="0" applyProtection="0">
      <alignment vertical="center"/>
    </xf>
    <xf numFmtId="0" fontId="29" fillId="24" borderId="33" applyNumberFormat="0" applyAlignment="0" applyProtection="0">
      <alignment vertical="center"/>
    </xf>
    <xf numFmtId="180" fontId="26" fillId="0" borderId="0" applyBorder="0" applyAlignment="0" applyProtection="0"/>
    <xf numFmtId="0" fontId="27" fillId="26" borderId="0" applyNumberFormat="0" applyBorder="0" applyAlignment="0" applyProtection="0">
      <alignment vertical="center"/>
    </xf>
    <xf numFmtId="181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5" borderId="34" applyNumberFormat="0" applyFon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35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8" fillId="0" borderId="35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3" fillId="0" borderId="36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34" borderId="37" applyNumberFormat="0" applyAlignment="0" applyProtection="0">
      <alignment vertical="center"/>
    </xf>
    <xf numFmtId="0" fontId="40" fillId="35" borderId="38" applyNumberFormat="0" applyAlignment="0" applyProtection="0">
      <alignment vertical="center"/>
    </xf>
    <xf numFmtId="0" fontId="41" fillId="35" borderId="37" applyNumberFormat="0" applyAlignment="0" applyProtection="0">
      <alignment vertical="center"/>
    </xf>
    <xf numFmtId="0" fontId="42" fillId="0" borderId="39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</cellStyleXfs>
  <cellXfs count="18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9" fontId="2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8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179" fontId="0" fillId="0" borderId="0" xfId="0" applyNumberFormat="1"/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2" fontId="3" fillId="6" borderId="8" xfId="9" applyNumberFormat="1" applyFont="1" applyFill="1" applyBorder="1" applyAlignment="1">
      <alignment horizontal="center" vertical="center"/>
    </xf>
    <xf numFmtId="182" fontId="3" fillId="6" borderId="9" xfId="9" applyNumberFormat="1" applyFont="1" applyFill="1" applyBorder="1" applyAlignment="1">
      <alignment horizontal="center" vertical="center"/>
    </xf>
    <xf numFmtId="182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2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2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2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79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79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79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79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9" fontId="0" fillId="16" borderId="0" xfId="0" applyNumberFormat="1" applyFill="1" applyAlignment="1">
      <alignment horizontal="center" vertical="center"/>
    </xf>
    <xf numFmtId="179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9" fontId="0" fillId="6" borderId="0" xfId="0" applyNumberFormat="1" applyFill="1" applyAlignment="1">
      <alignment horizontal="center"/>
    </xf>
    <xf numFmtId="179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79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79" fontId="20" fillId="0" borderId="0" xfId="0" applyNumberFormat="1" applyFont="1" applyAlignment="1">
      <alignment horizontal="center"/>
    </xf>
    <xf numFmtId="179" fontId="21" fillId="16" borderId="0" xfId="0" applyNumberFormat="1" applyFont="1" applyFill="1" applyAlignment="1">
      <alignment horizontal="center"/>
    </xf>
    <xf numFmtId="179" fontId="0" fillId="0" borderId="0" xfId="0" applyNumberFormat="1" applyAlignment="1">
      <alignment horizontal="center" vertical="center"/>
    </xf>
    <xf numFmtId="179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79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81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9" fontId="0" fillId="0" borderId="0" xfId="0" applyNumberFormat="1" applyFont="1" applyAlignment="1">
      <alignment horizontal="center" vertical="center" wrapText="1"/>
    </xf>
    <xf numFmtId="179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1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8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2.xml"/><Relationship Id="rId10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Ifpb-hp\dccl-compartilhamento\COMISS&#195;O DE LICITA&#199;&#195;O - DCCL\1 - PREG&#195;O ELETR&#212;NICO\2023\EDITAL n.&#176; 008-2023 - APOIO NAPNE\Instrumento Convocat&#243;rio\6. ANEXO IV\Planilha - Custos dos Profissionais - Cabedel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Tradutor-Intérprete"/>
      <sheetName val="Transcritor Braille"/>
      <sheetName val="Cuidador"/>
      <sheetName val="Audiodescritor"/>
      <sheetName val="Psicopedagogo"/>
      <sheetName val="Uniformes"/>
      <sheetName val="Diária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G12">
            <v>109.98</v>
          </cell>
        </row>
      </sheetData>
      <sheetData sheetId="8"/>
      <sheetData sheetId="9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23"/>
    <tableColumn id="2" name="Encargos e Benefícios Anuais, Mensais e Diários" dataDxfId="124"/>
    <tableColumn id="3" name="Comentário" dataDxfId="12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26"/>
    <tableColumn id="2" name="GPS, FGTS e outras contribuições" dataDxfId="127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28"/>
    <tableColumn id="2" name="Insumos Diversos" dataDxfId="129"/>
    <tableColumn id="3" name="Comentário" dataDxfId="130"/>
    <tableColumn id="4" name="Valor" totalsRowFunction="sum" dataDxfId="13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32"/>
    <tableColumn id="2" name="Custos Indiretos, Tributos e Lucro" dataDxfId="133"/>
    <tableColumn id="3" name="Percentual" dataDxfId="134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35"/>
    <tableColumn id="2" name="Custo de Reposição do Profissional Ausente" dataDxfId="136"/>
    <tableColumn id="3" name="Comentário" totalsRowLabel="*Nota: Se o titular USUFRUIR do descanso intrajornada, o total é o somatório dos subitens 4.1 e 4.2" dataDxfId="137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38"/>
    <tableColumn id="2" name="Substituto na Intrajornada " dataDxfId="139"/>
    <tableColumn id="3" name="Comentário" dataDxfId="14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44"/>
    <tableColumn id="2" name="Substituto nas Ausências Legais" dataDxfId="145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46"/>
    <tableColumn id="2" name="Composição da Remuneração" dataDxfId="147"/>
    <tableColumn id="3" name="Comentário" dataDxfId="148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49"/>
    <tableColumn id="2" name="Benefícios Mensais e Diários" dataDxfId="150"/>
    <tableColumn id="3" name="Comentário" dataDxfId="151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52"/>
    <tableColumn id="2" name="Descrição" dataDxfId="153"/>
    <tableColumn id="3" name="Comentário" dataDxfId="154"/>
    <tableColumn id="4" name="Valor" dataDxfId="155"/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56"/>
    <tableColumn id="2" name="Mão de obra vinculada à execução contratual" dataDxfId="157"/>
    <tableColumn id="3" name="-" dataDxfId="158"/>
    <tableColumn id="4" name="Valor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0" name="Módulo153_5210960" displayName="Módulo153_5210960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1" name="Submódulo2.356_5311261" displayName="Submódulo2.356_5311261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2" name="Módulo358_5710451" displayName="Módulo358_571045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3" name="Table452_5610662" displayName="Table452_5610662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4" name="Submódulo2.255_6311453" displayName="Submódulo2.255_6311453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5" name="Submódulo4.260_5510757" displayName="Submódulo4.260_5510757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6" name="ResumoMódulo257_6011352" displayName="ResumoMódulo257_6011352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7" name="Módulo562_5811654" displayName="Módulo562_5811654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8" name="ResumoPosto64_6410863" displayName="ResumoPosto64_641086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59" name="ResumoMódulo461_6211556" displayName="ResumoMódulo461_6211556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0" name="Módulo663_5910555" displayName="Módulo663_5910555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1" name="Submódulo2.154_6111158" displayName="Submódulo2.154_6111158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2" name="Submódulo4.159_5411059" displayName="Submódulo4.159_5411059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199"/>
    <tableColumn id="2" name="PEÇA" dataDxfId="200"/>
    <tableColumn id="3" name="DESCRIÇÃO" dataDxfId="201"/>
    <tableColumn id="4" name="UNIDADE" dataDxfId="202"/>
    <tableColumn id="5" name="VALOR MÉDIO UNITÁRIO (R$)" dataDxfId="203"/>
    <tableColumn id="6" name="QUANTIDADE ANUAL" dataDxfId="204"/>
    <tableColumn id="7" name="VALOR ANUAL POR EMPREGADO (R$)" dataDxfId="205"/>
    <tableColumn id="8" name="VALOR MENSAL POR EMPREGADO (R$)" totalsRowFunction="sum" dataDxfId="206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" name="Table39" displayName="Table39" ref="A2:G8" totalsRowCount="1">
  <tableColumns count="7">
    <tableColumn id="1" name="Item" totalsRowLabel="TOTAL" dataDxfId="207"/>
    <tableColumn id="2" name="Descrição" dataDxfId="208"/>
    <tableColumn id="7" name="Unidade" dataDxfId="209"/>
    <tableColumn id="3" name="Quantidade" dataDxfId="210"/>
    <tableColumn id="6" name="VIGÊNCIA (Mês)" dataDxfId="211"/>
    <tableColumn id="4" name="VALOR UNITÁRIO MÁXIMO ACEITÁVEL" dataDxfId="212"/>
    <tableColumn id="5" name="VALOR TOTAL MÁXIMO ACEITÁVEL" totalsRowFunction="custom">
      <totalsRowFormula>SUM(G3:G7)</totalsRowFormula>
    </tableColumn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3" t="s">
        <v>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ht="57" customHeight="1" spans="1:11">
      <c r="A2" s="184" t="s">
        <v>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ht="51" customHeight="1" spans="1:11">
      <c r="A3" s="184" t="s">
        <v>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ht="54.75" customHeight="1" spans="1:11">
      <c r="A4" s="184" t="s">
        <v>3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ht="67.5" customHeight="1" spans="1:11">
      <c r="A5" s="185" t="s">
        <v>4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ht="84.75" customHeight="1" spans="1:11">
      <c r="A6" s="185" t="s">
        <v>5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</row>
    <row r="7" ht="49.5" customHeight="1" spans="1:1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</row>
    <row r="8" ht="38.25" customHeight="1" spans="1:11">
      <c r="A8" s="185" t="s">
        <v>7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</row>
    <row r="9" ht="39.75" customHeight="1" spans="1:11">
      <c r="A9" s="184" t="s">
        <v>8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ht="41.25" customHeight="1" spans="1:11">
      <c r="A10" s="184" t="s">
        <v>9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ht="41.25" customHeight="1" spans="1:11">
      <c r="A11" s="186" t="s">
        <v>10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</row>
    <row r="12" spans="1:11">
      <c r="A12" s="187" t="s">
        <v>11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</row>
    <row r="13" spans="1:11">
      <c r="A13" s="188" t="s">
        <v>12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</row>
    <row r="14" spans="1:11">
      <c r="A14" s="188" t="s">
        <v>13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9" t="s">
        <v>14</v>
      </c>
      <c r="B1" s="169"/>
      <c r="C1" s="169"/>
      <c r="D1" s="169"/>
      <c r="F1" s="115" t="s">
        <v>15</v>
      </c>
      <c r="G1" s="115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1">
      <c r="A2" s="116" t="s">
        <v>16</v>
      </c>
      <c r="B2" t="s">
        <v>17</v>
      </c>
      <c r="C2" s="116" t="s">
        <v>18</v>
      </c>
      <c r="D2" s="116" t="s">
        <v>19</v>
      </c>
      <c r="F2" s="121" t="s">
        <v>17</v>
      </c>
      <c r="G2" s="121" t="s">
        <v>19</v>
      </c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1:21">
      <c r="A3" s="116">
        <v>1</v>
      </c>
      <c r="B3" t="s">
        <v>20</v>
      </c>
      <c r="C3" s="116"/>
      <c r="D3" s="116" t="s">
        <v>21</v>
      </c>
      <c r="F3" t="s">
        <v>22</v>
      </c>
      <c r="G3" s="170">
        <v>0</v>
      </c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1">
      <c r="A4" s="116">
        <v>2</v>
      </c>
      <c r="B4" t="s">
        <v>23</v>
      </c>
      <c r="C4" s="116"/>
      <c r="D4" s="116" t="s">
        <v>24</v>
      </c>
      <c r="F4" t="s">
        <v>25</v>
      </c>
      <c r="G4" s="170">
        <v>12</v>
      </c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</row>
    <row r="5" spans="1:21">
      <c r="A5" s="116">
        <v>3</v>
      </c>
      <c r="B5" t="s">
        <v>26</v>
      </c>
      <c r="C5" s="116" t="s">
        <v>27</v>
      </c>
      <c r="D5" s="171">
        <v>998</v>
      </c>
      <c r="F5" t="s">
        <v>28</v>
      </c>
      <c r="G5" s="117">
        <v>22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</row>
    <row r="6" spans="1:21">
      <c r="A6" s="116">
        <v>4</v>
      </c>
      <c r="B6" t="s">
        <v>29</v>
      </c>
      <c r="C6" s="116" t="s">
        <v>30</v>
      </c>
      <c r="D6" s="116" t="s">
        <v>31</v>
      </c>
      <c r="F6" t="s">
        <v>32</v>
      </c>
      <c r="G6" s="172">
        <v>0.03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</row>
    <row r="7" spans="1:21">
      <c r="A7" s="116">
        <v>5</v>
      </c>
      <c r="B7" t="s">
        <v>33</v>
      </c>
      <c r="C7" s="116"/>
      <c r="D7" s="116" t="s">
        <v>34</v>
      </c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</row>
    <row r="8" spans="6:21">
      <c r="F8" s="115" t="s">
        <v>35</v>
      </c>
      <c r="G8" s="115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>
      <c r="A9" s="99" t="s">
        <v>36</v>
      </c>
      <c r="B9" s="99"/>
      <c r="C9" s="99"/>
      <c r="D9" s="99"/>
      <c r="F9" s="121" t="s">
        <v>37</v>
      </c>
      <c r="G9" s="121" t="s">
        <v>38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1">
      <c r="A10" s="116" t="s">
        <v>39</v>
      </c>
      <c r="B10" s="121" t="s">
        <v>40</v>
      </c>
      <c r="C10" s="116" t="s">
        <v>18</v>
      </c>
      <c r="D10" s="116" t="s">
        <v>19</v>
      </c>
      <c r="F10" t="s">
        <v>41</v>
      </c>
      <c r="G10" s="122">
        <v>0.4337</v>
      </c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</row>
    <row r="11" spans="1:21">
      <c r="A11" s="116" t="s">
        <v>42</v>
      </c>
      <c r="B11" t="s">
        <v>43</v>
      </c>
      <c r="C11" s="116"/>
      <c r="D11" s="124">
        <f>Salário_Normativo_da_Categoria_Profissional</f>
        <v>998</v>
      </c>
      <c r="F11" t="s">
        <v>44</v>
      </c>
      <c r="G11" s="122">
        <v>0.4337</v>
      </c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</row>
    <row r="12" spans="1:21">
      <c r="A12" s="116" t="s">
        <v>45</v>
      </c>
      <c r="B12" t="s">
        <v>46</v>
      </c>
      <c r="C12" s="116"/>
      <c r="D12" s="124"/>
      <c r="F12" t="s">
        <v>47</v>
      </c>
      <c r="G12" s="122">
        <v>0.0218</v>
      </c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1">
      <c r="A13" s="116" t="s">
        <v>48</v>
      </c>
      <c r="B13" t="s">
        <v>49</v>
      </c>
      <c r="C13" s="116"/>
      <c r="D13" s="124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</row>
    <row r="14" spans="1:21">
      <c r="A14" s="116" t="s">
        <v>50</v>
      </c>
      <c r="B14" t="s">
        <v>51</v>
      </c>
      <c r="C14" s="116"/>
      <c r="D14" s="124"/>
      <c r="F14" s="115" t="s">
        <v>52</v>
      </c>
      <c r="G14" s="115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>
      <c r="A15" s="116" t="s">
        <v>53</v>
      </c>
      <c r="B15" t="s">
        <v>54</v>
      </c>
      <c r="C15" s="116"/>
      <c r="D15" s="124"/>
      <c r="F15" s="173" t="s">
        <v>17</v>
      </c>
      <c r="G15" s="173" t="s">
        <v>38</v>
      </c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1">
      <c r="A16" s="116" t="s">
        <v>55</v>
      </c>
      <c r="B16" t="s">
        <v>56</v>
      </c>
      <c r="C16" s="116"/>
      <c r="D16" s="124"/>
      <c r="F16" s="127" t="s">
        <v>57</v>
      </c>
      <c r="G16" s="174">
        <v>0.0471</v>
      </c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1">
      <c r="A17" s="116" t="s">
        <v>58</v>
      </c>
      <c r="C17" s="116"/>
      <c r="D17" s="124">
        <f>SUBTOTAL(109,Módulo1[Valor])</f>
        <v>998</v>
      </c>
      <c r="F17" s="127" t="s">
        <v>59</v>
      </c>
      <c r="G17" s="174">
        <v>0.0467</v>
      </c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</row>
    <row r="18" spans="6:21">
      <c r="F18" s="127" t="s">
        <v>60</v>
      </c>
      <c r="G18" s="175">
        <v>0.0165</v>
      </c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</row>
    <row r="19" spans="1:21">
      <c r="A19" s="125" t="s">
        <v>61</v>
      </c>
      <c r="B19" s="125"/>
      <c r="C19" s="125"/>
      <c r="D19" s="125"/>
      <c r="F19" s="127" t="s">
        <v>62</v>
      </c>
      <c r="G19" s="175">
        <v>0.076</v>
      </c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</row>
    <row r="20" spans="1:21">
      <c r="A20" s="115" t="s">
        <v>63</v>
      </c>
      <c r="B20" s="115"/>
      <c r="C20" s="115"/>
      <c r="D20" s="115"/>
      <c r="F20" s="127" t="s">
        <v>64</v>
      </c>
      <c r="G20" s="175">
        <v>0.05</v>
      </c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</row>
    <row r="21" spans="1:21">
      <c r="A21" s="116" t="s">
        <v>65</v>
      </c>
      <c r="B21" s="121" t="s">
        <v>66</v>
      </c>
      <c r="C21" s="116" t="s">
        <v>18</v>
      </c>
      <c r="D21" s="116" t="s">
        <v>19</v>
      </c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</row>
    <row r="22" spans="1:21">
      <c r="A22" s="116" t="s">
        <v>42</v>
      </c>
      <c r="B22" t="s">
        <v>67</v>
      </c>
      <c r="D22" s="124">
        <f>Módulo1[[#Totals],[Valor]]/12</f>
        <v>83.1666666666667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</row>
    <row r="23" spans="1:21">
      <c r="A23" s="116" t="s">
        <v>45</v>
      </c>
      <c r="B23" t="s">
        <v>68</v>
      </c>
      <c r="D23" s="124">
        <f>(Módulo1[[#Totals],[Valor]]/12)*(1+(1/3))</f>
        <v>110.888888888889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</row>
    <row r="24" spans="1:21">
      <c r="A24" s="116" t="s">
        <v>58</v>
      </c>
      <c r="D24" s="124">
        <f>SUBTOTAL(109,Submódulo2.1[Valor])</f>
        <v>194.055555555556</v>
      </c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</row>
    <row r="25" spans="1:21">
      <c r="A25" s="116"/>
      <c r="D25" s="124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</row>
    <row r="26" spans="1:21">
      <c r="A26" s="176" t="s">
        <v>69</v>
      </c>
      <c r="B26" s="176"/>
      <c r="C26" s="176"/>
      <c r="D26" s="176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</row>
    <row r="27" spans="1:21">
      <c r="A27" s="176" t="s">
        <v>16</v>
      </c>
      <c r="B27" s="176" t="s">
        <v>70</v>
      </c>
      <c r="C27" s="176" t="s">
        <v>71</v>
      </c>
      <c r="D27" s="177" t="s">
        <v>72</v>
      </c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</row>
    <row r="28" ht="30" spans="1:21">
      <c r="A28" s="136" t="s">
        <v>42</v>
      </c>
      <c r="B28" s="178" t="s">
        <v>73</v>
      </c>
      <c r="C28" s="179" t="s">
        <v>74</v>
      </c>
      <c r="D28" s="178" t="s">
        <v>75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</row>
    <row r="29" ht="30" spans="1:21">
      <c r="A29" s="136" t="s">
        <v>45</v>
      </c>
      <c r="B29" s="180" t="s">
        <v>68</v>
      </c>
      <c r="C29" s="179" t="s">
        <v>74</v>
      </c>
      <c r="D29" s="178" t="s">
        <v>76</v>
      </c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</row>
    <row r="30" spans="1:21">
      <c r="A30" s="116"/>
      <c r="B30" s="116"/>
      <c r="C30" s="148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</row>
    <row r="31" spans="1:4">
      <c r="A31" s="115" t="s">
        <v>77</v>
      </c>
      <c r="B31" s="115"/>
      <c r="C31" s="115"/>
      <c r="D31" s="115"/>
    </row>
    <row r="32" spans="1:4">
      <c r="A32" s="116" t="s">
        <v>78</v>
      </c>
      <c r="B32" s="121" t="s">
        <v>79</v>
      </c>
      <c r="C32" s="116" t="s">
        <v>38</v>
      </c>
      <c r="D32" s="116" t="s">
        <v>80</v>
      </c>
    </row>
    <row r="33" spans="1:4">
      <c r="A33" s="116" t="s">
        <v>42</v>
      </c>
      <c r="B33" t="s">
        <v>81</v>
      </c>
      <c r="C33" s="126">
        <v>0.2</v>
      </c>
      <c r="D33" s="124">
        <f>C33*(Módulo1[[#Totals],[Valor]]+Submódulo2.1[[#Totals],[Valor]])</f>
        <v>238.411111111111</v>
      </c>
    </row>
    <row r="34" spans="1:4">
      <c r="A34" s="116" t="s">
        <v>45</v>
      </c>
      <c r="B34" t="s">
        <v>82</v>
      </c>
      <c r="C34" s="126">
        <v>0.025</v>
      </c>
      <c r="D34" s="124">
        <f>C34*(Módulo1[[#Totals],[Valor]]+Submódulo2.1[[#Totals],[Valor]])</f>
        <v>29.8013888888889</v>
      </c>
    </row>
    <row r="35" spans="1:4">
      <c r="A35" s="116" t="s">
        <v>48</v>
      </c>
      <c r="B35" t="s">
        <v>83</v>
      </c>
      <c r="C35" s="126">
        <f>Servente!G6</f>
        <v>0.03</v>
      </c>
      <c r="D35" s="124">
        <f>C35*(Módulo1[[#Totals],[Valor]]+Submódulo2.1[[#Totals],[Valor]])</f>
        <v>35.7616666666667</v>
      </c>
    </row>
    <row r="36" spans="1:4">
      <c r="A36" s="116" t="s">
        <v>50</v>
      </c>
      <c r="B36" t="s">
        <v>84</v>
      </c>
      <c r="C36" s="126">
        <v>0.015</v>
      </c>
      <c r="D36" s="124">
        <f>C36*(Módulo1[[#Totals],[Valor]]+Submódulo2.1[[#Totals],[Valor]])</f>
        <v>17.8808333333333</v>
      </c>
    </row>
    <row r="37" spans="1:4">
      <c r="A37" s="116" t="s">
        <v>53</v>
      </c>
      <c r="B37" t="s">
        <v>85</v>
      </c>
      <c r="C37" s="126">
        <v>0.01</v>
      </c>
      <c r="D37" s="124">
        <f>C37*(Módulo1[[#Totals],[Valor]]+Submódulo2.1[[#Totals],[Valor]])</f>
        <v>11.9205555555556</v>
      </c>
    </row>
    <row r="38" spans="1:4">
      <c r="A38" s="116" t="s">
        <v>55</v>
      </c>
      <c r="B38" t="s">
        <v>86</v>
      </c>
      <c r="C38" s="126">
        <v>0.006</v>
      </c>
      <c r="D38" s="124">
        <f>C38*(Módulo1[[#Totals],[Valor]]+Submódulo2.1[[#Totals],[Valor]])</f>
        <v>7.15233333333333</v>
      </c>
    </row>
    <row r="39" spans="1:4">
      <c r="A39" s="116" t="s">
        <v>87</v>
      </c>
      <c r="B39" t="s">
        <v>88</v>
      </c>
      <c r="C39" s="126">
        <v>0.002</v>
      </c>
      <c r="D39" s="124">
        <f>C39*(Módulo1[[#Totals],[Valor]]+Submódulo2.1[[#Totals],[Valor]])</f>
        <v>2.38411111111111</v>
      </c>
    </row>
    <row r="40" spans="1:4">
      <c r="A40" s="116" t="s">
        <v>89</v>
      </c>
      <c r="B40" t="s">
        <v>90</v>
      </c>
      <c r="C40" s="126">
        <v>0.08</v>
      </c>
      <c r="D40" s="124">
        <f>C40*(Módulo1[[#Totals],[Valor]]+Submódulo2.1[[#Totals],[Valor]])</f>
        <v>95.3644444444445</v>
      </c>
    </row>
    <row r="41" spans="1:4">
      <c r="A41" s="116" t="s">
        <v>58</v>
      </c>
      <c r="C41" s="133">
        <f>SUBTOTAL(109,Submódulo2.2[Percentual])</f>
        <v>0.368</v>
      </c>
      <c r="D41" s="124">
        <f>SUBTOTAL(109,Submódulo2.2[Valor ])</f>
        <v>438.676444444444</v>
      </c>
    </row>
    <row r="42" spans="1:4">
      <c r="A42" s="116"/>
      <c r="C42" s="133"/>
      <c r="D42" s="124"/>
    </row>
    <row r="43" spans="1:4">
      <c r="A43" s="176" t="s">
        <v>91</v>
      </c>
      <c r="B43" s="176"/>
      <c r="C43" s="176"/>
      <c r="D43" s="176"/>
    </row>
    <row r="44" spans="1:4">
      <c r="A44" s="176" t="s">
        <v>16</v>
      </c>
      <c r="B44" s="176" t="s">
        <v>70</v>
      </c>
      <c r="C44" s="176" t="s">
        <v>71</v>
      </c>
      <c r="D44" s="177" t="s">
        <v>72</v>
      </c>
    </row>
    <row r="45" ht="30" spans="1:4">
      <c r="A45" s="136" t="s">
        <v>92</v>
      </c>
      <c r="B45" s="178" t="s">
        <v>79</v>
      </c>
      <c r="C45" s="178" t="s">
        <v>93</v>
      </c>
      <c r="D45" s="178" t="s">
        <v>94</v>
      </c>
    </row>
    <row r="47" spans="1:4">
      <c r="A47" s="115" t="s">
        <v>95</v>
      </c>
      <c r="B47" s="115"/>
      <c r="C47" s="115"/>
      <c r="D47" s="115"/>
    </row>
    <row r="48" spans="1:4">
      <c r="A48" s="116" t="s">
        <v>96</v>
      </c>
      <c r="B48" s="121" t="s">
        <v>97</v>
      </c>
      <c r="C48" s="116" t="s">
        <v>18</v>
      </c>
      <c r="D48" s="116" t="s">
        <v>19</v>
      </c>
    </row>
    <row r="49" spans="1:4">
      <c r="A49" s="116" t="s">
        <v>42</v>
      </c>
      <c r="B49" t="s">
        <v>98</v>
      </c>
      <c r="D49" s="124">
        <f>IF(G3=0,0,(Servente!G3*2*Servente!G5)-(6%*_1A))</f>
        <v>0</v>
      </c>
    </row>
    <row r="50" spans="1:4">
      <c r="A50" s="116" t="s">
        <v>45</v>
      </c>
      <c r="B50" t="s">
        <v>99</v>
      </c>
      <c r="D50" s="124">
        <f>(Servente!G4*Servente!G5)*80%</f>
        <v>211.2</v>
      </c>
    </row>
    <row r="51" spans="1:4">
      <c r="A51" s="116" t="s">
        <v>48</v>
      </c>
      <c r="B51" t="s">
        <v>100</v>
      </c>
      <c r="D51" s="124"/>
    </row>
    <row r="52" spans="1:4">
      <c r="A52" s="116" t="s">
        <v>50</v>
      </c>
      <c r="B52" t="s">
        <v>56</v>
      </c>
      <c r="D52" s="124"/>
    </row>
    <row r="53" spans="1:4">
      <c r="A53" s="116" t="s">
        <v>58</v>
      </c>
      <c r="D53" s="124">
        <v>211.2</v>
      </c>
    </row>
    <row r="54" spans="1:4">
      <c r="A54" s="116"/>
      <c r="D54" s="124"/>
    </row>
    <row r="55" spans="1:4">
      <c r="A55" s="176" t="s">
        <v>101</v>
      </c>
      <c r="B55" s="176"/>
      <c r="C55" s="176"/>
      <c r="D55" s="176"/>
    </row>
    <row r="56" spans="1:4">
      <c r="A56" s="176" t="s">
        <v>16</v>
      </c>
      <c r="B56" s="176" t="s">
        <v>70</v>
      </c>
      <c r="C56" s="176" t="s">
        <v>71</v>
      </c>
      <c r="D56" s="176" t="s">
        <v>72</v>
      </c>
    </row>
    <row r="57" ht="45" spans="1:4">
      <c r="A57" s="136" t="s">
        <v>42</v>
      </c>
      <c r="B57" s="178" t="s">
        <v>98</v>
      </c>
      <c r="C57" s="179" t="s">
        <v>102</v>
      </c>
      <c r="D57" s="179" t="s">
        <v>103</v>
      </c>
    </row>
    <row r="58" ht="30" spans="1:4">
      <c r="A58" s="136" t="s">
        <v>45</v>
      </c>
      <c r="B58" s="180" t="s">
        <v>99</v>
      </c>
      <c r="C58" s="179" t="s">
        <v>102</v>
      </c>
      <c r="D58" s="179" t="s">
        <v>104</v>
      </c>
    </row>
    <row r="59" ht="19.5" customHeight="1" spans="1:4">
      <c r="A59" s="116"/>
      <c r="D59" s="124"/>
    </row>
    <row r="60" spans="1:4">
      <c r="A60" s="115" t="s">
        <v>105</v>
      </c>
      <c r="B60" s="115"/>
      <c r="C60" s="115"/>
      <c r="D60" s="115"/>
    </row>
    <row r="61" spans="1:4">
      <c r="A61" s="116" t="s">
        <v>106</v>
      </c>
      <c r="B61" s="121" t="s">
        <v>107</v>
      </c>
      <c r="C61" s="116" t="s">
        <v>18</v>
      </c>
      <c r="D61" s="116" t="s">
        <v>19</v>
      </c>
    </row>
    <row r="62" spans="1:4">
      <c r="A62" s="116" t="s">
        <v>65</v>
      </c>
      <c r="B62" t="s">
        <v>66</v>
      </c>
      <c r="C62" s="116"/>
      <c r="D62" s="124">
        <f>Submódulo2.1[[#Totals],[Valor]]</f>
        <v>194.055555555556</v>
      </c>
    </row>
    <row r="63" spans="1:4">
      <c r="A63" s="116" t="s">
        <v>78</v>
      </c>
      <c r="B63" t="s">
        <v>79</v>
      </c>
      <c r="C63" s="116"/>
      <c r="D63" s="124">
        <f>Submódulo2.2[[#Totals],[Valor ]]</f>
        <v>438.676444444444</v>
      </c>
    </row>
    <row r="64" spans="1:4">
      <c r="A64" s="116" t="s">
        <v>96</v>
      </c>
      <c r="B64" t="s">
        <v>97</v>
      </c>
      <c r="C64" s="116"/>
      <c r="D64" s="124">
        <f>Submódulo2.3[[#Totals],[Valor]]</f>
        <v>211.2</v>
      </c>
    </row>
    <row r="65" spans="1:4">
      <c r="A65" s="116" t="s">
        <v>58</v>
      </c>
      <c r="C65" s="116"/>
      <c r="D65" s="124">
        <v>843.932</v>
      </c>
    </row>
    <row r="67" spans="1:4">
      <c r="A67" s="99" t="s">
        <v>108</v>
      </c>
      <c r="B67" s="99"/>
      <c r="C67" s="99"/>
      <c r="D67" s="99"/>
    </row>
    <row r="68" spans="1:4">
      <c r="A68" s="116" t="s">
        <v>109</v>
      </c>
      <c r="B68" s="121" t="s">
        <v>110</v>
      </c>
      <c r="C68" s="116" t="s">
        <v>18</v>
      </c>
      <c r="D68" s="116" t="s">
        <v>19</v>
      </c>
    </row>
    <row r="69" spans="1:4">
      <c r="A69" s="116" t="s">
        <v>42</v>
      </c>
      <c r="B69" t="s">
        <v>111</v>
      </c>
      <c r="D69" s="124">
        <f>((Módulo1[[#Totals],[Valor]]+D62+D64)/12)*Servente!G10</f>
        <v>50.715994537037</v>
      </c>
    </row>
    <row r="70" spans="1:4">
      <c r="A70" s="116" t="s">
        <v>45</v>
      </c>
      <c r="B70" t="s">
        <v>112</v>
      </c>
      <c r="D70" s="124">
        <f>(D40/12)*Servente!G10</f>
        <v>3.44662996296296</v>
      </c>
    </row>
    <row r="71" spans="1:4">
      <c r="A71" s="116" t="s">
        <v>48</v>
      </c>
      <c r="B71" t="s">
        <v>113</v>
      </c>
      <c r="D71" s="124">
        <f>D40*50%*Servente!G10</f>
        <v>20.6797797777778</v>
      </c>
    </row>
    <row r="72" spans="1:4">
      <c r="A72" s="116" t="s">
        <v>50</v>
      </c>
      <c r="B72" t="s">
        <v>114</v>
      </c>
      <c r="D72" s="124">
        <f>((Módulo1[[#Totals],[Valor]]+ResumoMódulo2[[#Totals],[Valor]])/12)*Servente!G11</f>
        <v>66.5704923666667</v>
      </c>
    </row>
    <row r="73" spans="1:4">
      <c r="A73" s="116" t="s">
        <v>53</v>
      </c>
      <c r="B73" t="s">
        <v>115</v>
      </c>
      <c r="D73" s="124">
        <f>D40*50%*Servente!G11</f>
        <v>20.6797797777778</v>
      </c>
    </row>
    <row r="74" spans="1:4">
      <c r="A74" s="116" t="s">
        <v>55</v>
      </c>
      <c r="B74" t="s">
        <v>116</v>
      </c>
      <c r="D74" s="124">
        <f>-D62*Servente!G12</f>
        <v>-4.23041111111111</v>
      </c>
    </row>
    <row r="75" spans="1:4">
      <c r="A75" s="116" t="s">
        <v>58</v>
      </c>
      <c r="D75" s="124">
        <f>SUBTOTAL(109,Módulo3[Valor])</f>
        <v>157.862265311111</v>
      </c>
    </row>
    <row r="76" spans="1:4">
      <c r="A76" s="116"/>
      <c r="D76" s="124"/>
    </row>
    <row r="77" spans="1:4">
      <c r="A77" s="176" t="s">
        <v>117</v>
      </c>
      <c r="B77" s="176"/>
      <c r="C77" s="176"/>
      <c r="D77" s="176"/>
    </row>
    <row r="78" spans="1:4">
      <c r="A78" s="176" t="s">
        <v>16</v>
      </c>
      <c r="B78" s="176" t="s">
        <v>70</v>
      </c>
      <c r="C78" s="176" t="s">
        <v>71</v>
      </c>
      <c r="D78" s="176" t="s">
        <v>72</v>
      </c>
    </row>
    <row r="79" ht="60" spans="1:4">
      <c r="A79" s="136" t="s">
        <v>42</v>
      </c>
      <c r="B79" s="178" t="s">
        <v>111</v>
      </c>
      <c r="C79" s="179" t="s">
        <v>118</v>
      </c>
      <c r="D79" s="179" t="s">
        <v>119</v>
      </c>
    </row>
    <row r="80" ht="60" spans="1:4">
      <c r="A80" s="136" t="s">
        <v>45</v>
      </c>
      <c r="B80" s="180" t="s">
        <v>112</v>
      </c>
      <c r="C80" s="179" t="s">
        <v>120</v>
      </c>
      <c r="D80" s="179" t="s">
        <v>119</v>
      </c>
    </row>
    <row r="81" ht="75" spans="1:4">
      <c r="A81" s="136" t="s">
        <v>48</v>
      </c>
      <c r="B81" s="180" t="s">
        <v>113</v>
      </c>
      <c r="C81" s="179" t="s">
        <v>120</v>
      </c>
      <c r="D81" s="181" t="s">
        <v>121</v>
      </c>
    </row>
    <row r="82" ht="60" spans="1:4">
      <c r="A82" s="136" t="s">
        <v>50</v>
      </c>
      <c r="B82" s="137" t="s">
        <v>114</v>
      </c>
      <c r="C82" s="179" t="s">
        <v>122</v>
      </c>
      <c r="D82" s="181" t="s">
        <v>123</v>
      </c>
    </row>
    <row r="83" ht="75" spans="1:4">
      <c r="A83" s="136" t="s">
        <v>53</v>
      </c>
      <c r="B83" s="137" t="s">
        <v>115</v>
      </c>
      <c r="C83" s="179" t="s">
        <v>120</v>
      </c>
      <c r="D83" s="181" t="s">
        <v>124</v>
      </c>
    </row>
    <row r="84" ht="60" spans="1:4">
      <c r="A84" s="136" t="s">
        <v>55</v>
      </c>
      <c r="B84" s="137" t="s">
        <v>116</v>
      </c>
      <c r="C84" s="179" t="s">
        <v>125</v>
      </c>
      <c r="D84" s="181" t="s">
        <v>126</v>
      </c>
    </row>
    <row r="86" customHeight="1" spans="1:4">
      <c r="A86" s="146" t="s">
        <v>127</v>
      </c>
      <c r="B86" s="146"/>
      <c r="C86" s="146"/>
      <c r="D86" s="146"/>
    </row>
    <row r="87" spans="1:4">
      <c r="A87" s="115" t="s">
        <v>128</v>
      </c>
      <c r="B87" s="115"/>
      <c r="C87" s="115"/>
      <c r="D87" s="115"/>
    </row>
    <row r="88" spans="1:4">
      <c r="A88" s="116" t="s">
        <v>129</v>
      </c>
      <c r="B88" s="121" t="s">
        <v>130</v>
      </c>
      <c r="C88" s="116" t="s">
        <v>131</v>
      </c>
      <c r="D88" s="116" t="s">
        <v>19</v>
      </c>
    </row>
    <row r="89" spans="1:4">
      <c r="A89" s="116" t="s">
        <v>42</v>
      </c>
      <c r="B89" t="s">
        <v>132</v>
      </c>
      <c r="C89" s="116">
        <v>20.71</v>
      </c>
      <c r="D89" s="124">
        <f>(((Módulo1[[#Totals],[Valor]]+ResumoMódulo2[[#Totals],[Valor]]+Módulo3[[#Totals],[Valor]])/30)*C89)/12</f>
        <v>115.043720096092</v>
      </c>
    </row>
    <row r="90" spans="1:4">
      <c r="A90" s="116" t="s">
        <v>45</v>
      </c>
      <c r="B90" t="s">
        <v>133</v>
      </c>
      <c r="C90" s="116">
        <v>1.4181</v>
      </c>
      <c r="D90" s="124">
        <f>(((Módulo1[[#Totals],[Valor]]+ResumoMódulo2[[#Totals],[Valor]]+Módulo3[[#Totals],[Valor]])/30)*C90)/12</f>
        <v>7.87752291010468</v>
      </c>
    </row>
    <row r="91" spans="1:4">
      <c r="A91" s="116" t="s">
        <v>48</v>
      </c>
      <c r="B91" t="s">
        <v>134</v>
      </c>
      <c r="C91" s="116">
        <v>0.1898</v>
      </c>
      <c r="D91" s="124">
        <f>(((Módulo1[[#Totals],[Valor]]+ResumoMódulo2[[#Totals],[Valor]]+Módulo3[[#Totals],[Valor]])/30)*C91)/12</f>
        <v>1.05433597654458</v>
      </c>
    </row>
    <row r="92" spans="1:4">
      <c r="A92" s="116" t="s">
        <v>50</v>
      </c>
      <c r="B92" t="s">
        <v>135</v>
      </c>
      <c r="C92" s="116">
        <v>0.9545</v>
      </c>
      <c r="D92" s="124">
        <f>(((Módulo1[[#Totals],[Valor]]+ResumoMódulo2[[#Totals],[Valor]]+Módulo3[[#Totals],[Valor]])/30)*C92)/12</f>
        <v>5.3022322951096</v>
      </c>
    </row>
    <row r="93" spans="1:4">
      <c r="A93" s="116" t="s">
        <v>53</v>
      </c>
      <c r="B93" t="s">
        <v>136</v>
      </c>
      <c r="C93" s="116">
        <v>2.4723</v>
      </c>
      <c r="D93" s="124">
        <f>(((Módulo1[[#Totals],[Valor]]+ResumoMódulo2[[#Totals],[Valor]]+Módulo3[[#Totals],[Valor]])/30)*C93)/12</f>
        <v>13.7335871170241</v>
      </c>
    </row>
    <row r="94" spans="1:4">
      <c r="A94" s="116" t="s">
        <v>55</v>
      </c>
      <c r="B94" t="s">
        <v>137</v>
      </c>
      <c r="C94" s="116">
        <v>3.4521</v>
      </c>
      <c r="D94" s="124">
        <f>(((Módulo1[[#Totals],[Valor]]+ResumoMódulo2[[#Totals],[Valor]]+Módulo3[[#Totals],[Valor]])/30)*C94)/12</f>
        <v>19.1763605091125</v>
      </c>
    </row>
    <row r="95" spans="1:4">
      <c r="A95" s="116" t="s">
        <v>58</v>
      </c>
      <c r="C95" s="116">
        <f>SUBTOTAL(109,Submódulo4.1[Dias de ausência])</f>
        <v>29.1968</v>
      </c>
      <c r="D95" s="124">
        <f>SUBTOTAL(109,Submódulo4.1[Valor])</f>
        <v>162.187758903987</v>
      </c>
    </row>
    <row r="96" spans="1:4">
      <c r="A96" s="116"/>
      <c r="C96" s="116"/>
      <c r="D96" s="124"/>
    </row>
    <row r="97" spans="1:4">
      <c r="A97" s="176" t="s">
        <v>138</v>
      </c>
      <c r="B97" s="176"/>
      <c r="C97" s="176"/>
      <c r="D97" s="176"/>
    </row>
    <row r="98" spans="1:4">
      <c r="A98" s="176" t="s">
        <v>16</v>
      </c>
      <c r="B98" s="176" t="s">
        <v>70</v>
      </c>
      <c r="C98" s="176" t="s">
        <v>71</v>
      </c>
      <c r="D98" s="176" t="s">
        <v>72</v>
      </c>
    </row>
    <row r="99" spans="1:4">
      <c r="A99" s="136" t="s">
        <v>139</v>
      </c>
      <c r="B99" s="178" t="s">
        <v>140</v>
      </c>
      <c r="C99" s="179"/>
      <c r="D99" s="179"/>
    </row>
    <row r="100" ht="45" spans="1:4">
      <c r="A100" s="136" t="s">
        <v>139</v>
      </c>
      <c r="B100" s="180" t="s">
        <v>141</v>
      </c>
      <c r="C100" s="179" t="s">
        <v>142</v>
      </c>
      <c r="D100" s="179" t="s">
        <v>143</v>
      </c>
    </row>
    <row r="101" spans="1:4">
      <c r="A101" s="116"/>
      <c r="C101" s="116"/>
      <c r="D101" s="124"/>
    </row>
    <row r="102" spans="1:4">
      <c r="A102" s="115" t="s">
        <v>144</v>
      </c>
      <c r="B102" s="115"/>
      <c r="C102" s="115"/>
      <c r="D102" s="115"/>
    </row>
    <row r="103" spans="1:4">
      <c r="A103" s="116" t="s">
        <v>145</v>
      </c>
      <c r="B103" s="121" t="s">
        <v>146</v>
      </c>
      <c r="C103" s="116" t="s">
        <v>18</v>
      </c>
      <c r="D103" s="116" t="s">
        <v>19</v>
      </c>
    </row>
    <row r="104" spans="1:4">
      <c r="A104" s="116" t="s">
        <v>42</v>
      </c>
      <c r="B104" t="s">
        <v>147</v>
      </c>
      <c r="C104" s="116"/>
      <c r="D104" s="124"/>
    </row>
    <row r="105" spans="1:4">
      <c r="A105" s="116" t="s">
        <v>58</v>
      </c>
      <c r="C105" s="116"/>
      <c r="D105" s="124">
        <f>SUBTOTAL(109,Submódulo4.2[Valor])</f>
        <v>0</v>
      </c>
    </row>
    <row r="107" spans="1:4">
      <c r="A107" s="115" t="s">
        <v>148</v>
      </c>
      <c r="B107" s="115"/>
      <c r="C107" s="115"/>
      <c r="D107" s="115"/>
    </row>
    <row r="108" spans="1:4">
      <c r="A108" s="116" t="s">
        <v>149</v>
      </c>
      <c r="B108" s="121" t="s">
        <v>150</v>
      </c>
      <c r="C108" s="116" t="s">
        <v>18</v>
      </c>
      <c r="D108" s="116" t="s">
        <v>19</v>
      </c>
    </row>
    <row r="109" spans="1:4">
      <c r="A109" s="116" t="s">
        <v>129</v>
      </c>
      <c r="B109" t="s">
        <v>130</v>
      </c>
      <c r="D109" s="124">
        <f>Submódulo4.1[[#Totals],[Valor]]</f>
        <v>162.187758903987</v>
      </c>
    </row>
    <row r="110" spans="1:4">
      <c r="A110" s="116" t="s">
        <v>145</v>
      </c>
      <c r="B110" t="s">
        <v>151</v>
      </c>
      <c r="D110" s="124">
        <f>Submódulo4.2[[#Totals],[Valor]]</f>
        <v>0</v>
      </c>
    </row>
    <row r="111" spans="1:4">
      <c r="A111" s="116" t="s">
        <v>58</v>
      </c>
      <c r="D111" s="124">
        <f>SUBTOTAL(109,ResumoMódulo4[Valor])</f>
        <v>162.187758903987</v>
      </c>
    </row>
    <row r="113" spans="1:4">
      <c r="A113" s="99" t="s">
        <v>152</v>
      </c>
      <c r="B113" s="99"/>
      <c r="C113" s="99"/>
      <c r="D113" s="99"/>
    </row>
    <row r="114" spans="1:4">
      <c r="A114" s="116" t="s">
        <v>153</v>
      </c>
      <c r="B114" s="121" t="s">
        <v>154</v>
      </c>
      <c r="C114" s="116" t="s">
        <v>18</v>
      </c>
      <c r="D114" s="116" t="s">
        <v>19</v>
      </c>
    </row>
    <row r="115" spans="1:4">
      <c r="A115" s="116" t="s">
        <v>42</v>
      </c>
      <c r="B115" t="s">
        <v>155</v>
      </c>
      <c r="D115" s="124" t="e">
        <f>#REF!</f>
        <v>#REF!</v>
      </c>
    </row>
    <row r="116" spans="1:4">
      <c r="A116" s="116" t="s">
        <v>45</v>
      </c>
      <c r="B116" t="s">
        <v>156</v>
      </c>
      <c r="D116" s="124" t="e">
        <f>#REF!/#REF!</f>
        <v>#REF!</v>
      </c>
    </row>
    <row r="117" spans="1:4">
      <c r="A117" s="116" t="s">
        <v>48</v>
      </c>
      <c r="B117" t="s">
        <v>157</v>
      </c>
      <c r="D117" s="124" t="e">
        <f>#REF!/#REF!</f>
        <v>#REF!</v>
      </c>
    </row>
    <row r="118" spans="1:4">
      <c r="A118" s="116" t="s">
        <v>50</v>
      </c>
      <c r="B118" t="s">
        <v>158</v>
      </c>
      <c r="D118" s="124"/>
    </row>
    <row r="119" spans="1:4">
      <c r="A119" s="116" t="s">
        <v>58</v>
      </c>
      <c r="D119" s="124" t="e">
        <f>SUBTOTAL(109,Módulo5[Valor])</f>
        <v>#REF!</v>
      </c>
    </row>
    <row r="120" spans="1:4">
      <c r="A120" s="116"/>
      <c r="D120" s="124"/>
    </row>
    <row r="121" spans="1:4">
      <c r="A121" s="176" t="s">
        <v>159</v>
      </c>
      <c r="B121" s="176"/>
      <c r="C121" s="176"/>
      <c r="D121" s="176"/>
    </row>
    <row r="122" spans="1:4">
      <c r="A122" s="176" t="s">
        <v>16</v>
      </c>
      <c r="B122" s="176" t="s">
        <v>70</v>
      </c>
      <c r="C122" s="176" t="s">
        <v>71</v>
      </c>
      <c r="D122" s="176" t="s">
        <v>72</v>
      </c>
    </row>
    <row r="123" spans="1:4">
      <c r="A123" s="136" t="s">
        <v>42</v>
      </c>
      <c r="B123" s="178" t="s">
        <v>155</v>
      </c>
      <c r="C123" s="179" t="s">
        <v>160</v>
      </c>
      <c r="D123" s="179"/>
    </row>
    <row r="124" ht="30" spans="1:4">
      <c r="A124" s="136" t="s">
        <v>45</v>
      </c>
      <c r="B124" s="180" t="s">
        <v>156</v>
      </c>
      <c r="C124" s="179" t="s">
        <v>161</v>
      </c>
      <c r="D124" s="179" t="s">
        <v>162</v>
      </c>
    </row>
    <row r="125" ht="30" spans="1:4">
      <c r="A125" s="136" t="s">
        <v>48</v>
      </c>
      <c r="B125" s="180" t="s">
        <v>157</v>
      </c>
      <c r="C125" s="179" t="s">
        <v>163</v>
      </c>
      <c r="D125" s="179" t="s">
        <v>162</v>
      </c>
    </row>
    <row r="126" spans="1:4">
      <c r="A126" s="136" t="s">
        <v>50</v>
      </c>
      <c r="B126" s="180" t="s">
        <v>158</v>
      </c>
      <c r="C126" s="179"/>
      <c r="D126" s="179"/>
    </row>
    <row r="128" spans="1:4">
      <c r="A128" s="99" t="s">
        <v>164</v>
      </c>
      <c r="B128" s="99"/>
      <c r="C128" s="99"/>
      <c r="D128" s="99"/>
    </row>
    <row r="129" outlineLevel="1" spans="1:4">
      <c r="A129" s="116" t="s">
        <v>165</v>
      </c>
      <c r="B129" t="s">
        <v>166</v>
      </c>
      <c r="C129" s="116" t="s">
        <v>38</v>
      </c>
      <c r="D129" s="116" t="s">
        <v>19</v>
      </c>
    </row>
    <row r="130" outlineLevel="1" spans="1:4">
      <c r="A130" s="116" t="s">
        <v>42</v>
      </c>
      <c r="B130" t="s">
        <v>167</v>
      </c>
      <c r="C130" s="126">
        <f>G16</f>
        <v>0.0471</v>
      </c>
      <c r="D130" s="124" t="e">
        <f>Módulo6[[#This Row],[Percentual]]*(D141+D142+D143+D144+D145)</f>
        <v>#REF!</v>
      </c>
    </row>
    <row r="131" outlineLevel="1" spans="1:4">
      <c r="A131" s="116" t="s">
        <v>45</v>
      </c>
      <c r="B131" t="s">
        <v>59</v>
      </c>
      <c r="C131" s="126">
        <f>G17</f>
        <v>0.0467</v>
      </c>
      <c r="D131" s="124" t="e">
        <f>(SUM(D141:D145)+D130)*Módulo6[[#This Row],[Percentual]]</f>
        <v>#REF!</v>
      </c>
    </row>
    <row r="132" spans="1:4">
      <c r="A132" s="116" t="s">
        <v>48</v>
      </c>
      <c r="B132" t="s">
        <v>168</v>
      </c>
      <c r="C132" s="126">
        <f>SUM(C133:C135)</f>
        <v>0.1425</v>
      </c>
      <c r="D132" s="124" t="e">
        <f>Módulo6[[#This Row],[Percentual]]*D148</f>
        <v>#REF!</v>
      </c>
    </row>
    <row r="133" spans="1:4">
      <c r="A133" s="116" t="s">
        <v>169</v>
      </c>
      <c r="B133" t="s">
        <v>60</v>
      </c>
      <c r="C133" s="126">
        <f>G18</f>
        <v>0.0165</v>
      </c>
      <c r="D133" s="124" t="e">
        <f>Módulo6[[#This Row],[Percentual]]*D148</f>
        <v>#REF!</v>
      </c>
    </row>
    <row r="134" spans="1:4">
      <c r="A134" s="116" t="s">
        <v>170</v>
      </c>
      <c r="B134" t="s">
        <v>62</v>
      </c>
      <c r="C134" s="126">
        <f>G19</f>
        <v>0.076</v>
      </c>
      <c r="D134" s="124" t="e">
        <f>Módulo6[[#This Row],[Percentual]]*D148</f>
        <v>#REF!</v>
      </c>
    </row>
    <row r="135" spans="1:4">
      <c r="A135" s="116" t="s">
        <v>171</v>
      </c>
      <c r="B135" t="s">
        <v>64</v>
      </c>
      <c r="C135" s="126">
        <f>G20</f>
        <v>0.05</v>
      </c>
      <c r="D135" s="124" t="e">
        <f>Módulo6[[#This Row],[Percentual]]*D148</f>
        <v>#REF!</v>
      </c>
    </row>
    <row r="136" spans="1:4">
      <c r="A136" s="116" t="s">
        <v>58</v>
      </c>
      <c r="C136" s="163"/>
      <c r="D136" s="124" t="e">
        <f>SUM(D130:D132)</f>
        <v>#REF!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Módulo1[[#Totals],[Valor]]</f>
        <v>998</v>
      </c>
    </row>
    <row r="142" spans="1:4">
      <c r="A142" s="116" t="s">
        <v>45</v>
      </c>
      <c r="B142" t="s">
        <v>61</v>
      </c>
      <c r="D142" s="124">
        <f>ResumoMódulo2[[#Totals],[Valor]]</f>
        <v>843.932</v>
      </c>
    </row>
    <row r="143" spans="1:4">
      <c r="A143" s="116" t="s">
        <v>48</v>
      </c>
      <c r="B143" t="s">
        <v>108</v>
      </c>
      <c r="D143" s="124">
        <f>Módulo3[[#Totals],[Valor]]</f>
        <v>157.862265311111</v>
      </c>
    </row>
    <row r="144" spans="1:4">
      <c r="A144" s="116" t="s">
        <v>50</v>
      </c>
      <c r="B144" t="s">
        <v>174</v>
      </c>
      <c r="D144" s="124">
        <f>ResumoMódulo4[[#Totals],[Valor]]</f>
        <v>162.187758903987</v>
      </c>
    </row>
    <row r="145" spans="1:4">
      <c r="A145" s="116" t="s">
        <v>53</v>
      </c>
      <c r="B145" t="s">
        <v>152</v>
      </c>
      <c r="D145" s="124" t="e">
        <f>Módulo5[[#Totals],[Valor]]</f>
        <v>#REF!</v>
      </c>
    </row>
    <row r="146" spans="1:4">
      <c r="A146" t="s">
        <v>175</v>
      </c>
      <c r="D146" s="124" t="e">
        <f>SUM(D141:D145)</f>
        <v>#REF!</v>
      </c>
    </row>
    <row r="147" spans="1:4">
      <c r="A147" s="116" t="s">
        <v>55</v>
      </c>
      <c r="B147" t="s">
        <v>164</v>
      </c>
      <c r="D147" s="124" t="e">
        <f>Módulo6[[#Totals],[Valor]]</f>
        <v>#REF!</v>
      </c>
    </row>
    <row r="148" spans="1:4">
      <c r="A148" s="165" t="s">
        <v>176</v>
      </c>
      <c r="B148" s="165"/>
      <c r="C148" s="165"/>
      <c r="D148" s="18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" workbookViewId="0">
      <selection activeCell="C14" sqref="C14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spans="1:4">
      <c r="A13" s="111" t="s">
        <v>194</v>
      </c>
      <c r="B13" s="111"/>
      <c r="C13" s="105" t="s">
        <v>195</v>
      </c>
      <c r="D13" s="112">
        <f>RESUMO!D3</f>
        <v>12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Tradutor-Intérprete de Libras</v>
      </c>
    </row>
    <row r="18" spans="1:4">
      <c r="A18" s="116">
        <v>2</v>
      </c>
      <c r="B18" t="s">
        <v>23</v>
      </c>
      <c r="C18" s="117" t="s">
        <v>196</v>
      </c>
      <c r="D18" s="117" t="s">
        <v>197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/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155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SUBTOTAL(109,Módulo562_5811614[Valor])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47"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232</v>
      </c>
      <c r="B13" s="111"/>
      <c r="C13" s="105" t="s">
        <v>233</v>
      </c>
      <c r="D13" s="112">
        <f>RESUMO!D4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Cuidador</v>
      </c>
    </row>
    <row r="18" spans="1:4">
      <c r="A18" s="116">
        <v>2</v>
      </c>
      <c r="B18" t="s">
        <v>23</v>
      </c>
      <c r="C18" s="117" t="s">
        <v>196</v>
      </c>
      <c r="D18" s="117" t="s">
        <v>234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1951.37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235</v>
      </c>
      <c r="D25" s="118">
        <f>D19</f>
        <v>1951.37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1951.37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162.61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216.81</v>
      </c>
      <c r="F38" s="127"/>
      <c r="G38" s="127"/>
    </row>
    <row r="39" spans="1:7">
      <c r="A39" s="116" t="s">
        <v>58</v>
      </c>
      <c r="D39" s="124">
        <f>TRUNC((SUM(D37:D38)),2)</f>
        <v>379.42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1951.37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379.42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2330.79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466.15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58.26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139.84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34.96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23.3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13.98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4.66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186.46</v>
      </c>
    </row>
    <row r="55" spans="1:4">
      <c r="A55" s="116" t="s">
        <v>58</v>
      </c>
      <c r="C55" s="133">
        <f>SUM(C47:C54)</f>
        <v>0.398</v>
      </c>
      <c r="D55" s="124">
        <f>TRUNC(SUM(D47:D54),2)</f>
        <v>927.61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379.42</v>
      </c>
    </row>
    <row r="71" spans="1:4">
      <c r="A71" s="116" t="s">
        <v>78</v>
      </c>
      <c r="B71" t="s">
        <v>79</v>
      </c>
      <c r="C71" s="116"/>
      <c r="D71" s="124">
        <f>D55</f>
        <v>927.61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1772.03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3.25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0.26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1.24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37.18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14.79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61.19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117.91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1951.37</v>
      </c>
    </row>
    <row r="86" ht="16.5" spans="1:4">
      <c r="A86" s="128"/>
      <c r="B86" s="128"/>
      <c r="C86" s="131" t="s">
        <v>212</v>
      </c>
      <c r="D86" s="130">
        <f>D73</f>
        <v>1772.03</v>
      </c>
    </row>
    <row r="87" ht="16.5" spans="1:4">
      <c r="A87" s="128"/>
      <c r="B87" s="128"/>
      <c r="C87" s="129" t="s">
        <v>213</v>
      </c>
      <c r="D87" s="130">
        <f>D83</f>
        <v>117.91</v>
      </c>
    </row>
    <row r="88" ht="16.5" spans="1:4">
      <c r="A88" s="128"/>
      <c r="B88" s="128"/>
      <c r="C88" s="131" t="s">
        <v>204</v>
      </c>
      <c r="D88" s="132">
        <f>TRUNC((SUM(D85:D87)),2)</f>
        <v>3841.31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62.24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53.35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1.06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12.8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4.26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133.71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133.71</v>
      </c>
    </row>
    <row r="109" spans="1:4">
      <c r="A109" s="116" t="s">
        <v>145</v>
      </c>
      <c r="B109" t="s">
        <v>151</v>
      </c>
      <c r="C109" s="121"/>
      <c r="D109" s="153"/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133.71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68">
        <v>0</v>
      </c>
    </row>
    <row r="119" spans="1:4">
      <c r="A119" s="116" t="s">
        <v>58</v>
      </c>
      <c r="D119" s="124">
        <f>SUBTOTAL(109,Módulo562_5811641[Valor])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1951.37</v>
      </c>
    </row>
    <row r="122" ht="16.5" spans="1:4">
      <c r="A122" s="128"/>
      <c r="B122" s="128"/>
      <c r="C122" s="131" t="s">
        <v>212</v>
      </c>
      <c r="D122" s="130">
        <f>D73</f>
        <v>1772.03</v>
      </c>
    </row>
    <row r="123" ht="16.5" spans="1:4">
      <c r="A123" s="128"/>
      <c r="B123" s="128"/>
      <c r="C123" s="129" t="s">
        <v>213</v>
      </c>
      <c r="D123" s="130">
        <f>D83</f>
        <v>117.91</v>
      </c>
    </row>
    <row r="124" ht="16.5" spans="1:4">
      <c r="A124" s="128"/>
      <c r="B124" s="128"/>
      <c r="C124" s="131" t="s">
        <v>222</v>
      </c>
      <c r="D124" s="130">
        <f>D110</f>
        <v>133.71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4085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204.25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300.24</v>
      </c>
      <c r="F131" s="159" t="s">
        <v>226</v>
      </c>
      <c r="G131" s="160">
        <f>TRUNC(SUM(D126,D130,D131),2)</f>
        <v>4589.49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434.57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32.65</v>
      </c>
      <c r="F133" s="159" t="s">
        <v>224</v>
      </c>
      <c r="G133" s="160">
        <f>TRUNC((G131/G132),2)</f>
        <v>5024.07</v>
      </c>
    </row>
    <row r="134" ht="15.75" spans="1:4">
      <c r="A134" s="116"/>
      <c r="B134" t="s">
        <v>229</v>
      </c>
      <c r="C134" s="134">
        <v>0.03</v>
      </c>
      <c r="D134" s="118">
        <f t="shared" si="3"/>
        <v>150.72</v>
      </c>
    </row>
    <row r="135" spans="1:4">
      <c r="A135" s="116"/>
      <c r="B135" t="s">
        <v>230</v>
      </c>
      <c r="C135" s="134">
        <v>0.05</v>
      </c>
      <c r="D135" s="118">
        <f t="shared" si="3"/>
        <v>251.2</v>
      </c>
    </row>
    <row r="136" spans="1:4">
      <c r="A136" s="116" t="s">
        <v>58</v>
      </c>
      <c r="B136" s="162"/>
      <c r="C136" s="163"/>
      <c r="D136" s="124">
        <f>SUM(D130:D132)</f>
        <v>939.06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1951.37</v>
      </c>
    </row>
    <row r="142" spans="1:4">
      <c r="A142" s="116" t="s">
        <v>45</v>
      </c>
      <c r="B142" t="s">
        <v>61</v>
      </c>
      <c r="D142" s="124">
        <f>D73</f>
        <v>1772.03</v>
      </c>
    </row>
    <row r="143" spans="1:4">
      <c r="A143" s="116" t="s">
        <v>48</v>
      </c>
      <c r="B143" t="s">
        <v>108</v>
      </c>
      <c r="D143" s="124">
        <f>D83</f>
        <v>117.91</v>
      </c>
    </row>
    <row r="144" spans="1:4">
      <c r="A144" s="116" t="s">
        <v>50</v>
      </c>
      <c r="B144" t="s">
        <v>174</v>
      </c>
      <c r="D144" s="124">
        <f>D110</f>
        <v>133.71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4085</v>
      </c>
    </row>
    <row r="147" spans="1:4">
      <c r="A147" s="116" t="s">
        <v>55</v>
      </c>
      <c r="B147" t="s">
        <v>164</v>
      </c>
      <c r="D147" s="124">
        <f>D136</f>
        <v>939.06</v>
      </c>
    </row>
    <row r="148" spans="1:4">
      <c r="A148" s="165"/>
      <c r="B148" s="166" t="s">
        <v>231</v>
      </c>
      <c r="C148" s="165"/>
      <c r="D148" s="167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42" workbookViewId="0">
      <selection activeCell="A63" sqref="A63:D65"/>
    </sheetView>
  </sheetViews>
  <sheetFormatPr defaultColWidth="9.14285714285714" defaultRowHeight="15" outlineLevelCol="6"/>
  <cols>
    <col min="1" max="1" width="14.7142857142857" customWidth="1"/>
    <col min="2" max="2" width="52.2857142857143" customWidth="1"/>
    <col min="3" max="3" width="23.4285714285714" customWidth="1"/>
    <col min="4" max="4" width="32.2857142857143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237</v>
      </c>
      <c r="B13" s="111"/>
      <c r="C13" s="105" t="s">
        <v>233</v>
      </c>
      <c r="D13" s="112">
        <f>RESUMO!D5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Audiodescritor</v>
      </c>
    </row>
    <row r="18" spans="1:4">
      <c r="A18" s="116">
        <v>2</v>
      </c>
      <c r="B18" t="s">
        <v>23</v>
      </c>
      <c r="C18" s="117" t="s">
        <v>196</v>
      </c>
      <c r="D18" s="117" t="s">
        <v>238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05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 t="str">
        <f>Submódulo4.260_5510757[[#Totals],[Valor]]</f>
        <v>*=TRUNCAR(($D$86/220)*(1*(365/12))/2)</v>
      </c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[2]Uniformes!G12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SUBTOTAL(109,Módulo562_5811654[Valor])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50" workbookViewId="0">
      <selection activeCell="F82" sqref="F82"/>
    </sheetView>
  </sheetViews>
  <sheetFormatPr defaultColWidth="9.14285714285714" defaultRowHeight="15" outlineLevelCol="6"/>
  <cols>
    <col min="1" max="1" width="10.5714285714286" customWidth="1"/>
    <col min="2" max="2" width="46.1428571428571" customWidth="1"/>
    <col min="3" max="3" width="25.2857142857143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239</v>
      </c>
      <c r="B13" s="111"/>
      <c r="C13" s="105" t="s">
        <v>233</v>
      </c>
      <c r="D13" s="112">
        <f>RESUMO!D6</f>
        <v>2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Psicopedagogo Educacional</v>
      </c>
    </row>
    <row r="18" spans="1:4">
      <c r="A18" s="116">
        <v>2</v>
      </c>
      <c r="B18" t="s">
        <v>23</v>
      </c>
      <c r="C18" s="117" t="s">
        <v>196</v>
      </c>
      <c r="D18" s="117" t="s">
        <v>240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ht="30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9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/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SUBTOTAL(109,Módulo562_5811681[Valor])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H16" sqref="H16"/>
    </sheetView>
  </sheetViews>
  <sheetFormatPr defaultColWidth="9.14285714285714" defaultRowHeight="15" outlineLevelCol="7"/>
  <cols>
    <col min="2" max="2" width="13.1619047619048" style="73" customWidth="1"/>
    <col min="3" max="3" width="39.3619047619048" customWidth="1"/>
    <col min="4" max="4" width="13.4571428571429" style="7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5" t="s">
        <v>241</v>
      </c>
      <c r="B2" s="76"/>
      <c r="C2" s="75"/>
      <c r="D2" s="77"/>
      <c r="E2" s="75"/>
      <c r="F2" s="75"/>
      <c r="G2" s="75"/>
      <c r="H2" s="75"/>
    </row>
    <row r="3" spans="1:8">
      <c r="A3" s="78" t="s">
        <v>242</v>
      </c>
      <c r="B3" s="79"/>
      <c r="C3" s="78"/>
      <c r="D3" s="80"/>
      <c r="E3" s="78"/>
      <c r="F3" s="78"/>
      <c r="G3" s="78"/>
      <c r="H3" s="78"/>
    </row>
    <row r="4" ht="60" spans="1:8">
      <c r="A4" s="81" t="s">
        <v>243</v>
      </c>
      <c r="B4" s="81" t="s">
        <v>244</v>
      </c>
      <c r="C4" s="81" t="s">
        <v>245</v>
      </c>
      <c r="D4" s="81" t="s">
        <v>246</v>
      </c>
      <c r="E4" s="81" t="s">
        <v>247</v>
      </c>
      <c r="F4" s="81" t="s">
        <v>248</v>
      </c>
      <c r="G4" s="81" t="s">
        <v>249</v>
      </c>
      <c r="H4" s="81" t="s">
        <v>250</v>
      </c>
    </row>
    <row r="5" ht="30" spans="1:8">
      <c r="A5" s="82">
        <v>1</v>
      </c>
      <c r="B5" s="83" t="s">
        <v>251</v>
      </c>
      <c r="C5" s="84" t="s">
        <v>252</v>
      </c>
      <c r="D5" s="83" t="s">
        <v>253</v>
      </c>
      <c r="E5" s="85">
        <v>54.4</v>
      </c>
      <c r="F5" s="83">
        <v>4</v>
      </c>
      <c r="G5" s="86">
        <f t="shared" ref="G5:G11" si="0">TRUNC(F5*E5,2)</f>
        <v>217.6</v>
      </c>
      <c r="H5" s="86">
        <f>TRUNC(G5/12,2)</f>
        <v>18.13</v>
      </c>
    </row>
    <row r="6" ht="45" spans="1:8">
      <c r="A6" s="82">
        <v>2</v>
      </c>
      <c r="B6" s="83" t="s">
        <v>254</v>
      </c>
      <c r="C6" s="84" t="s">
        <v>255</v>
      </c>
      <c r="D6" s="83" t="s">
        <v>253</v>
      </c>
      <c r="E6" s="85">
        <v>94.53</v>
      </c>
      <c r="F6" s="83">
        <v>2</v>
      </c>
      <c r="G6" s="86">
        <f t="shared" si="0"/>
        <v>189.06</v>
      </c>
      <c r="H6" s="86">
        <f t="shared" ref="H6:H11" si="1">TRUNC(G6/12,2)</f>
        <v>15.75</v>
      </c>
    </row>
    <row r="7" ht="60" spans="1:8">
      <c r="A7" s="82">
        <v>3</v>
      </c>
      <c r="B7" s="83" t="s">
        <v>256</v>
      </c>
      <c r="C7" s="84" t="s">
        <v>257</v>
      </c>
      <c r="D7" s="83" t="s">
        <v>253</v>
      </c>
      <c r="E7" s="85">
        <v>68.51</v>
      </c>
      <c r="F7" s="83">
        <v>4</v>
      </c>
      <c r="G7" s="86">
        <f t="shared" si="0"/>
        <v>274.04</v>
      </c>
      <c r="H7" s="86">
        <f t="shared" si="1"/>
        <v>22.83</v>
      </c>
    </row>
    <row r="8" ht="60" spans="1:8">
      <c r="A8" s="82">
        <v>4</v>
      </c>
      <c r="B8" s="83" t="s">
        <v>256</v>
      </c>
      <c r="C8" s="84" t="s">
        <v>258</v>
      </c>
      <c r="D8" s="83" t="s">
        <v>253</v>
      </c>
      <c r="E8" s="85">
        <v>61.42</v>
      </c>
      <c r="F8" s="83">
        <v>4</v>
      </c>
      <c r="G8" s="86">
        <f t="shared" si="0"/>
        <v>245.68</v>
      </c>
      <c r="H8" s="86">
        <f t="shared" si="1"/>
        <v>20.47</v>
      </c>
    </row>
    <row r="9" ht="30" spans="1:8">
      <c r="A9" s="82">
        <v>5</v>
      </c>
      <c r="B9" s="83" t="s">
        <v>259</v>
      </c>
      <c r="C9" s="84" t="s">
        <v>260</v>
      </c>
      <c r="D9" s="83" t="s">
        <v>261</v>
      </c>
      <c r="E9" s="85">
        <v>122.1</v>
      </c>
      <c r="F9" s="83">
        <v>2</v>
      </c>
      <c r="G9" s="86">
        <f t="shared" si="0"/>
        <v>244.2</v>
      </c>
      <c r="H9" s="86">
        <f t="shared" si="1"/>
        <v>20.35</v>
      </c>
    </row>
    <row r="10" ht="45" spans="1:8">
      <c r="A10" s="82">
        <v>6</v>
      </c>
      <c r="B10" s="83" t="s">
        <v>262</v>
      </c>
      <c r="C10" s="84" t="s">
        <v>263</v>
      </c>
      <c r="D10" s="83" t="s">
        <v>261</v>
      </c>
      <c r="E10" s="85">
        <v>35.18</v>
      </c>
      <c r="F10" s="83">
        <v>4</v>
      </c>
      <c r="G10" s="86">
        <f t="shared" si="0"/>
        <v>140.72</v>
      </c>
      <c r="H10" s="86">
        <f t="shared" si="1"/>
        <v>11.72</v>
      </c>
    </row>
    <row r="11" ht="45" spans="1:8">
      <c r="A11" s="82">
        <v>7</v>
      </c>
      <c r="B11" s="83" t="s">
        <v>264</v>
      </c>
      <c r="C11" s="84" t="s">
        <v>265</v>
      </c>
      <c r="D11" s="83" t="s">
        <v>253</v>
      </c>
      <c r="E11" s="85">
        <v>8.77</v>
      </c>
      <c r="F11" s="83">
        <v>1</v>
      </c>
      <c r="G11" s="86">
        <f t="shared" si="0"/>
        <v>8.77</v>
      </c>
      <c r="H11" s="86">
        <f t="shared" si="1"/>
        <v>0.73</v>
      </c>
    </row>
    <row r="12" spans="1:8">
      <c r="A12" s="87" t="s">
        <v>204</v>
      </c>
      <c r="B12" s="87"/>
      <c r="C12" s="87"/>
      <c r="D12" s="87"/>
      <c r="E12" s="87"/>
      <c r="F12" s="87"/>
      <c r="G12" s="88">
        <f>TRUNC(SUM(H5:H11),2)</f>
        <v>109.98</v>
      </c>
      <c r="H12" s="88"/>
    </row>
    <row r="13" spans="1:8">
      <c r="A13" s="89"/>
      <c r="B13" s="90"/>
      <c r="C13" s="89"/>
      <c r="D13" s="91"/>
      <c r="E13" s="89"/>
      <c r="F13" s="89"/>
      <c r="G13" s="89"/>
      <c r="H13" s="8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H24" sqref="H24"/>
    </sheetView>
  </sheetViews>
  <sheetFormatPr defaultColWidth="9.14285714285714" defaultRowHeight="15"/>
  <cols>
    <col min="2" max="2" width="25.2857142857143" customWidth="1"/>
    <col min="3" max="3" width="16" customWidth="1"/>
    <col min="4" max="4" width="20.2857142857143" customWidth="1"/>
    <col min="5" max="5" width="17.5714285714286" customWidth="1"/>
    <col min="9" max="9" width="23.8571428571429" customWidth="1"/>
    <col min="10" max="10" width="11" customWidth="1"/>
  </cols>
  <sheetData>
    <row r="1" ht="16.5" spans="2:10">
      <c r="B1" s="15" t="s">
        <v>266</v>
      </c>
      <c r="C1" s="16"/>
      <c r="D1" s="16"/>
      <c r="E1" s="17"/>
      <c r="F1" s="11"/>
      <c r="G1" s="11"/>
      <c r="H1" s="11"/>
      <c r="I1" s="11"/>
      <c r="J1" s="11"/>
    </row>
    <row r="2" ht="33" spans="2:10">
      <c r="B2" s="18" t="s">
        <v>267</v>
      </c>
      <c r="C2" s="19" t="s">
        <v>268</v>
      </c>
      <c r="D2" s="20" t="s">
        <v>269</v>
      </c>
      <c r="E2" s="21"/>
      <c r="F2" s="11"/>
      <c r="G2" s="11"/>
      <c r="H2" s="11"/>
      <c r="I2" s="11"/>
      <c r="J2" s="11"/>
    </row>
    <row r="3" ht="17.25" spans="2:10">
      <c r="B3" s="22" t="s">
        <v>270</v>
      </c>
      <c r="C3" s="23" t="s">
        <v>271</v>
      </c>
      <c r="D3" s="24" t="s">
        <v>272</v>
      </c>
      <c r="E3" s="25"/>
      <c r="F3" s="11"/>
      <c r="G3" s="11"/>
      <c r="H3" s="11"/>
      <c r="I3" s="11"/>
      <c r="J3" s="11"/>
    </row>
    <row r="4" ht="17.25" spans="2:10">
      <c r="B4" s="26">
        <f>RESUMO!D7</f>
        <v>96</v>
      </c>
      <c r="C4" s="27">
        <f>E19</f>
        <v>196.16</v>
      </c>
      <c r="D4" s="28">
        <f>TRUNC((B4*C4),2)</f>
        <v>18831.36</v>
      </c>
      <c r="E4" s="29"/>
      <c r="F4" s="11"/>
      <c r="G4" s="11"/>
      <c r="H4" s="30"/>
      <c r="I4" s="30"/>
      <c r="J4" s="30"/>
    </row>
    <row r="5" ht="17.25" spans="2:10">
      <c r="B5" s="31"/>
      <c r="C5" s="32"/>
      <c r="D5" s="32"/>
      <c r="E5" s="33"/>
      <c r="F5" s="11"/>
      <c r="G5" s="11"/>
      <c r="H5" s="30"/>
      <c r="I5" s="65" t="s">
        <v>224</v>
      </c>
      <c r="J5" s="66"/>
    </row>
    <row r="6" ht="17.25" spans="2:10">
      <c r="B6" s="31"/>
      <c r="C6" s="32"/>
      <c r="D6" s="32"/>
      <c r="E6" s="33"/>
      <c r="F6" s="11"/>
      <c r="G6" s="11"/>
      <c r="H6" s="30"/>
      <c r="I6" s="67" t="s">
        <v>225</v>
      </c>
      <c r="J6" s="68">
        <f>D18</f>
        <v>0.0865</v>
      </c>
    </row>
    <row r="7" ht="16.5" spans="2:10">
      <c r="B7" s="15" t="s">
        <v>273</v>
      </c>
      <c r="C7" s="16"/>
      <c r="D7" s="16"/>
      <c r="E7" s="17"/>
      <c r="F7" s="11"/>
      <c r="G7" s="11"/>
      <c r="H7" s="30"/>
      <c r="I7" s="69" t="s">
        <v>274</v>
      </c>
      <c r="J7" s="70">
        <f>E13</f>
        <v>179.2</v>
      </c>
    </row>
    <row r="8" ht="17.25" spans="2:10">
      <c r="B8" s="19" t="s">
        <v>275</v>
      </c>
      <c r="C8" s="19"/>
      <c r="D8" s="19"/>
      <c r="E8" s="34">
        <v>160</v>
      </c>
      <c r="F8" s="11"/>
      <c r="G8" s="11"/>
      <c r="H8" s="30"/>
      <c r="I8" s="67" t="s">
        <v>276</v>
      </c>
      <c r="J8" s="71">
        <f>(1-J6)</f>
        <v>0.9135</v>
      </c>
    </row>
    <row r="9" ht="16.5" spans="2:10">
      <c r="B9" s="35" t="s">
        <v>277</v>
      </c>
      <c r="C9" s="36"/>
      <c r="D9" s="37" t="s">
        <v>278</v>
      </c>
      <c r="E9" s="38" t="s">
        <v>279</v>
      </c>
      <c r="F9" s="11"/>
      <c r="G9" s="11"/>
      <c r="H9" s="30"/>
      <c r="I9" s="72"/>
      <c r="J9" s="72"/>
    </row>
    <row r="10" ht="15.75" spans="2:10">
      <c r="B10" s="39" t="s">
        <v>280</v>
      </c>
      <c r="C10" s="40"/>
      <c r="D10" s="41">
        <v>0.05</v>
      </c>
      <c r="E10" s="42">
        <f>TRUNC((E8*D10),2)</f>
        <v>8</v>
      </c>
      <c r="F10" s="11"/>
      <c r="G10" s="11"/>
      <c r="H10" s="30"/>
      <c r="I10" s="72"/>
      <c r="J10" s="72"/>
    </row>
    <row r="11" ht="16.5" spans="2:10">
      <c r="B11" s="43" t="s">
        <v>281</v>
      </c>
      <c r="C11" s="44"/>
      <c r="D11" s="41">
        <v>0.07</v>
      </c>
      <c r="E11" s="42">
        <f>TRUNC((E8*D11),2)</f>
        <v>11.2</v>
      </c>
      <c r="F11" s="11"/>
      <c r="G11" s="11"/>
      <c r="H11" s="30"/>
      <c r="I11" s="30"/>
      <c r="J11" s="30"/>
    </row>
    <row r="12" ht="17.25" spans="2:10">
      <c r="B12" s="45" t="s">
        <v>282</v>
      </c>
      <c r="C12" s="20"/>
      <c r="D12" s="21"/>
      <c r="E12" s="46">
        <f>TRUNC((SUM(E10:E11)),2)</f>
        <v>19.2</v>
      </c>
      <c r="F12" s="11"/>
      <c r="G12" s="11"/>
      <c r="H12" s="30"/>
      <c r="I12" s="30"/>
      <c r="J12" s="30"/>
    </row>
    <row r="13" ht="17.25" spans="2:10">
      <c r="B13" s="47" t="s">
        <v>204</v>
      </c>
      <c r="C13" s="48"/>
      <c r="D13" s="49"/>
      <c r="E13" s="46">
        <f>TRUNC((E8+E12),2)</f>
        <v>179.2</v>
      </c>
      <c r="F13" s="11"/>
      <c r="G13" s="11"/>
      <c r="H13" s="30"/>
      <c r="I13" s="30"/>
      <c r="J13" s="30"/>
    </row>
    <row r="14" ht="16.5" spans="2:10">
      <c r="B14" s="50" t="s">
        <v>283</v>
      </c>
      <c r="C14" s="51"/>
      <c r="D14" s="52" t="s">
        <v>278</v>
      </c>
      <c r="E14" s="53" t="s">
        <v>284</v>
      </c>
      <c r="F14" s="11"/>
      <c r="G14" s="11"/>
      <c r="H14" s="11"/>
      <c r="I14" s="11"/>
      <c r="J14" s="11"/>
    </row>
    <row r="15" ht="15.75" spans="2:10">
      <c r="B15" s="39" t="s">
        <v>64</v>
      </c>
      <c r="C15" s="40"/>
      <c r="D15" s="41">
        <f>'[1]Motorista Interestadual'!C132</f>
        <v>0.0065</v>
      </c>
      <c r="E15" s="42">
        <f>(J7/J8)*(D15)</f>
        <v>1.27509578544061</v>
      </c>
      <c r="F15" s="11"/>
      <c r="G15" s="11"/>
      <c r="H15" s="11"/>
      <c r="I15" s="11"/>
      <c r="J15" s="11"/>
    </row>
    <row r="16" ht="15.75" spans="2:10">
      <c r="B16" s="43" t="s">
        <v>62</v>
      </c>
      <c r="C16" s="44"/>
      <c r="D16" s="41">
        <f>'[1]Motorista Interestadual'!C133</f>
        <v>0.03</v>
      </c>
      <c r="E16" s="42">
        <f>(J7/J8)*(D16)</f>
        <v>5.88505747126437</v>
      </c>
      <c r="F16" s="11"/>
      <c r="G16" s="11"/>
      <c r="H16" s="11"/>
      <c r="I16" s="11"/>
      <c r="J16" s="11"/>
    </row>
    <row r="17" ht="15.75" spans="2:10">
      <c r="B17" s="39" t="s">
        <v>60</v>
      </c>
      <c r="C17" s="40"/>
      <c r="D17" s="41">
        <f>'[1]Motorista Interestadual'!C134</f>
        <v>0.05</v>
      </c>
      <c r="E17" s="54">
        <f>(E13/J8)*(D17)</f>
        <v>9.80842911877395</v>
      </c>
      <c r="F17" s="11"/>
      <c r="G17" s="11"/>
      <c r="H17" s="11"/>
      <c r="I17" s="11"/>
      <c r="J17" s="11"/>
    </row>
    <row r="18" ht="16.5" spans="2:10">
      <c r="B18" s="55" t="s">
        <v>225</v>
      </c>
      <c r="C18" s="56"/>
      <c r="D18" s="57">
        <f>SUM(D15:D17)</f>
        <v>0.0865</v>
      </c>
      <c r="E18" s="58">
        <f>SUM(E15:E17)</f>
        <v>16.9685823754789</v>
      </c>
      <c r="F18" s="11"/>
      <c r="G18" s="11"/>
      <c r="H18" s="11"/>
      <c r="I18" s="11"/>
      <c r="J18" s="11"/>
    </row>
    <row r="19" ht="17.25" spans="2:10">
      <c r="B19" s="59" t="s">
        <v>204</v>
      </c>
      <c r="C19" s="60"/>
      <c r="D19" s="61"/>
      <c r="E19" s="62">
        <f>TRUNC((E13+E18),2)</f>
        <v>196.16</v>
      </c>
      <c r="F19" s="11"/>
      <c r="G19" s="11"/>
      <c r="H19" s="11"/>
      <c r="I19" s="11"/>
      <c r="J19" s="11"/>
    </row>
    <row r="20" ht="15.75" spans="2:10">
      <c r="B20" s="63"/>
      <c r="C20" s="63"/>
      <c r="D20" s="63"/>
      <c r="E20" s="63"/>
      <c r="F20" s="11"/>
      <c r="G20" s="11"/>
      <c r="H20" s="11"/>
      <c r="I20" s="11"/>
      <c r="J20" s="11"/>
    </row>
    <row r="21" spans="2:10">
      <c r="B21" s="64" t="s">
        <v>285</v>
      </c>
      <c r="C21" s="64"/>
      <c r="D21" s="64"/>
      <c r="E21" s="64"/>
      <c r="F21" s="11"/>
      <c r="G21" s="11"/>
      <c r="H21" s="11"/>
      <c r="I21" s="11"/>
      <c r="J21" s="11"/>
    </row>
    <row r="22" spans="2:10">
      <c r="B22" s="64" t="s">
        <v>286</v>
      </c>
      <c r="C22" s="64"/>
      <c r="D22" s="64"/>
      <c r="E22" s="64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selection activeCell="F21" sqref="F21"/>
    </sheetView>
  </sheetViews>
  <sheetFormatPr defaultColWidth="8.88571428571429" defaultRowHeight="15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287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253</v>
      </c>
      <c r="D2" s="4" t="s">
        <v>288</v>
      </c>
      <c r="E2" s="4" t="s">
        <v>289</v>
      </c>
      <c r="F2" s="4" t="s">
        <v>290</v>
      </c>
      <c r="G2" s="4" t="s">
        <v>291</v>
      </c>
    </row>
    <row r="3" ht="75" spans="1:9">
      <c r="A3" s="4">
        <v>34</v>
      </c>
      <c r="B3" s="5" t="s">
        <v>292</v>
      </c>
      <c r="C3" s="4" t="s">
        <v>293</v>
      </c>
      <c r="D3" s="4">
        <v>12</v>
      </c>
      <c r="E3" s="4">
        <v>12</v>
      </c>
      <c r="F3" s="6">
        <f>'Tradutor-Intérprete'!D148</f>
        <v>7414.56</v>
      </c>
      <c r="G3" s="7">
        <f>(D3*F3)*(E3)</f>
        <v>1067696.64</v>
      </c>
      <c r="I3" s="14"/>
    </row>
    <row r="4" ht="75" spans="1:9">
      <c r="A4" s="4">
        <v>35</v>
      </c>
      <c r="B4" s="5" t="s">
        <v>294</v>
      </c>
      <c r="C4" s="4" t="s">
        <v>293</v>
      </c>
      <c r="D4" s="4">
        <v>1</v>
      </c>
      <c r="E4" s="4">
        <v>12</v>
      </c>
      <c r="F4" s="6">
        <f>Cuidador!D148</f>
        <v>5024.06</v>
      </c>
      <c r="G4" s="7">
        <f>(D4*F4)*(E4)</f>
        <v>60288.72</v>
      </c>
      <c r="I4" s="14"/>
    </row>
    <row r="5" ht="75" spans="1:9">
      <c r="A5" s="8">
        <v>36</v>
      </c>
      <c r="B5" s="9" t="s">
        <v>295</v>
      </c>
      <c r="C5" s="4" t="s">
        <v>293</v>
      </c>
      <c r="D5" s="8">
        <v>1</v>
      </c>
      <c r="E5" s="8">
        <v>12</v>
      </c>
      <c r="F5" s="7">
        <f>Audiodescritor!D148</f>
        <v>7414.56</v>
      </c>
      <c r="G5" s="7">
        <f>(D5*F5)*(E5)</f>
        <v>88974.72</v>
      </c>
      <c r="I5" s="14"/>
    </row>
    <row r="6" ht="90" spans="1:9">
      <c r="A6" s="8">
        <v>37</v>
      </c>
      <c r="B6" s="9" t="s">
        <v>296</v>
      </c>
      <c r="C6" s="4" t="s">
        <v>293</v>
      </c>
      <c r="D6" s="8">
        <v>2</v>
      </c>
      <c r="E6" s="8">
        <v>12</v>
      </c>
      <c r="F6" s="7">
        <f>Psicopedagogo!D148</f>
        <v>7414.56</v>
      </c>
      <c r="G6" s="7">
        <f>(D6*F6)*(E6)</f>
        <v>177949.44</v>
      </c>
      <c r="I6" s="14"/>
    </row>
    <row r="7" ht="19" customHeight="1" spans="1:7">
      <c r="A7" s="8">
        <v>38</v>
      </c>
      <c r="B7" s="8" t="s">
        <v>297</v>
      </c>
      <c r="C7" s="8" t="s">
        <v>298</v>
      </c>
      <c r="D7" s="8">
        <v>96</v>
      </c>
      <c r="E7" s="8" t="s">
        <v>102</v>
      </c>
      <c r="F7" s="10">
        <f>Diárias!E19</f>
        <v>196.16</v>
      </c>
      <c r="G7" s="7">
        <f>(D7*F7)</f>
        <v>18831.36</v>
      </c>
    </row>
    <row r="8" spans="1:7">
      <c r="A8" s="11" t="s">
        <v>204</v>
      </c>
      <c r="B8" s="11"/>
      <c r="C8" s="11"/>
      <c r="D8" s="11"/>
      <c r="E8" s="11"/>
      <c r="F8" s="11"/>
      <c r="G8" s="12">
        <f>SUM(G3:G7)</f>
        <v>1413740.88</v>
      </c>
    </row>
    <row r="9" spans="1:7">
      <c r="A9" s="13"/>
      <c r="B9" s="13"/>
      <c r="C9" s="13"/>
      <c r="D9" s="13"/>
      <c r="E9" s="13"/>
      <c r="F9" s="13"/>
      <c r="G9" s="13"/>
    </row>
    <row r="10" spans="1:7">
      <c r="A10" s="11"/>
      <c r="B10" s="11"/>
      <c r="C10" s="11"/>
      <c r="D10" s="11"/>
      <c r="E10" s="11"/>
      <c r="F10" s="11"/>
      <c r="G10" s="11"/>
    </row>
    <row r="11" spans="1:7">
      <c r="A11" s="11"/>
      <c r="B11" s="11"/>
      <c r="C11" s="11"/>
      <c r="D11" s="11"/>
      <c r="E11" s="11"/>
      <c r="F11" s="11"/>
      <c r="G11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Orientações</vt:lpstr>
      <vt:lpstr>Servente</vt:lpstr>
      <vt:lpstr>Tradutor-Intérprete</vt:lpstr>
      <vt:lpstr>Cuidador</vt:lpstr>
      <vt:lpstr>Audiodescritor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2023-11-24T13:34:38Z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